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Eingabefelder" sheetId="1" r:id="rId1"/>
    <sheet name="Mess- und Abrechnungspreise" sheetId="2" state="hidden" r:id="rId2"/>
    <sheet name="Rechnung Arbeit und Leistung" sheetId="3" state="hidden" r:id="rId3"/>
    <sheet name="Tabelle2" sheetId="4" state="hidden" r:id="rId4"/>
  </sheets>
  <definedNames>
    <definedName name="Abrechnungsart">'Mess- und Abrechnungspreise'!$A$2:$A$7</definedName>
    <definedName name="Abrechnungsentgelt">'Mess- und Abrechnungspreise'!$B$3:$B$4</definedName>
    <definedName name="Datenlogger">'Mess- und Abrechnungspreise'!$C$17:$C$19</definedName>
    <definedName name="jährlich">'Mess- und Abrechnungspreise'!$A$3</definedName>
    <definedName name="jährliche_Abrechnung">'Mess- und Abrechnungspreise'!$A$2:$A$4</definedName>
    <definedName name="Lastgangmessung">'Mess- und Abrechnungspreise'!$F$15:$F$16</definedName>
    <definedName name="Mengenumwerter">'Mess- und Abrechnungspreise'!$C$15:$C$16</definedName>
    <definedName name="Messungsentgelt">'Mess- und Abrechnungspreise'!$D$3:$D$11</definedName>
    <definedName name="Modem">'Mess- und Abrechnungspreise'!$C$20:$C$22</definedName>
    <definedName name="monatlich">'Mess- und Abrechnungspreise'!$A$4:$A$5</definedName>
    <definedName name="Z_AA4A5DD3_2C9E_409F_825B_F856B9C7EE57_.wvu.Cols" localSheetId="1" hidden="1">'Mess- und Abrechnungspreise'!$A:$D</definedName>
    <definedName name="Z_AA4A5DD3_2C9E_409F_825B_F856B9C7EE57_.wvu.Cols" localSheetId="2" hidden="1">'Rechnung Arbeit und Leistung'!$A:$F</definedName>
    <definedName name="ZählermLM">'Mess- und Abrechnungspreise'!$C$9:$C$11</definedName>
    <definedName name="ZähleroLM">'Mess- und Abrechnungspreise'!$C$2:$C$8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<sst xmlns="http://schemas.openxmlformats.org/spreadsheetml/2006/main" count="125" uniqueCount="83">
  <si>
    <t>Jahresleistung</t>
  </si>
  <si>
    <t>in kWh</t>
  </si>
  <si>
    <t>in kW</t>
  </si>
  <si>
    <t>Abrechnungsart</t>
  </si>
  <si>
    <t>inklusive vorgelagerter Netzkosten</t>
  </si>
  <si>
    <t>Kunden mit Leistungsmessung</t>
  </si>
  <si>
    <t>Kunden ohne Leistungsmessung</t>
  </si>
  <si>
    <t>Entgelt Arbeitspreis</t>
  </si>
  <si>
    <t>Zähler</t>
  </si>
  <si>
    <t>Abrechnungsentgelt</t>
  </si>
  <si>
    <t>Entgelt Leistungspreis</t>
  </si>
  <si>
    <t>Netzentgelt Netto in € =</t>
  </si>
  <si>
    <t>bis 2000</t>
  </si>
  <si>
    <t>2001 - 10000</t>
  </si>
  <si>
    <t>10001 - 25000</t>
  </si>
  <si>
    <t>25001 - 50000</t>
  </si>
  <si>
    <t>50001 - 200000</t>
  </si>
  <si>
    <t>200001 - 500000</t>
  </si>
  <si>
    <t>500001 - 1500000</t>
  </si>
  <si>
    <t>Verbrauchsmenge</t>
  </si>
  <si>
    <t>Kunden bis 1.500.000 kWh/Jahr</t>
  </si>
  <si>
    <t>Kunden ab 1.500.000 kWh/Jahr</t>
  </si>
  <si>
    <t>Arbeit</t>
  </si>
  <si>
    <t>BM(OTW)</t>
  </si>
  <si>
    <t>BM(OVW)</t>
  </si>
  <si>
    <t>Wendepunkt Arbeit</t>
  </si>
  <si>
    <t>Exponent Arbeit</t>
  </si>
  <si>
    <t>Jahrearbeit</t>
  </si>
  <si>
    <t>NNE</t>
  </si>
  <si>
    <t>Leistung</t>
  </si>
  <si>
    <t>BM(OTP)</t>
  </si>
  <si>
    <t>BM(OVP)</t>
  </si>
  <si>
    <t>Wendepunkt Leistung</t>
  </si>
  <si>
    <t>Exponent Leistung</t>
  </si>
  <si>
    <t>Max. Jahresleistung</t>
  </si>
  <si>
    <t>Gesamt</t>
  </si>
  <si>
    <t>Entgelt Grundpreis und Arbeitspreis</t>
  </si>
  <si>
    <t>Jahresarbeit (Wert &lt;= 1.500.000 kWh)</t>
  </si>
  <si>
    <t>Grundpreis in Euro</t>
  </si>
  <si>
    <t>Messstellenbetrieb</t>
  </si>
  <si>
    <t>G 2,5 bis G 6</t>
  </si>
  <si>
    <t>G 10 bis G 25</t>
  </si>
  <si>
    <t>G 40 bis G 100</t>
  </si>
  <si>
    <t>G 65 bis G 400</t>
  </si>
  <si>
    <t>Zusatzgeräte</t>
  </si>
  <si>
    <t>Mengenumwerter</t>
  </si>
  <si>
    <t>TAE-Modem</t>
  </si>
  <si>
    <t>GSM-Modem</t>
  </si>
  <si>
    <t>€</t>
  </si>
  <si>
    <t>Zusatzgerät</t>
  </si>
  <si>
    <t>Entgelt Abrechnung</t>
  </si>
  <si>
    <t>mit gültigen Preisen ab:</t>
  </si>
  <si>
    <t>Netzentgeltrechner Gas</t>
  </si>
  <si>
    <t>G 160 bis G 250</t>
  </si>
  <si>
    <t>Datenlogger</t>
  </si>
  <si>
    <t>G 4 - G 40</t>
  </si>
  <si>
    <t>Stadtwerke Weinheim GmbH</t>
  </si>
  <si>
    <t>Entgelt Messstellenbetrieb Zusatzgerät</t>
  </si>
  <si>
    <t>Entgelt Messstellenbetrieb Datenlogger</t>
  </si>
  <si>
    <t>*KE = Kommunikationseinheit</t>
  </si>
  <si>
    <t>Datenlogger - ohne KE*</t>
  </si>
  <si>
    <t>Datenlogger - mit KE*</t>
  </si>
  <si>
    <t>Arbeitspreis in ct/kWh</t>
  </si>
  <si>
    <t>Arbeitspreis in €/kWh</t>
  </si>
  <si>
    <t>ct/kWh</t>
  </si>
  <si>
    <t>Summe in €</t>
  </si>
  <si>
    <t>Summe Messung+ Messstellenbetrieb</t>
  </si>
  <si>
    <t>Messart</t>
  </si>
  <si>
    <t>jährlich</t>
  </si>
  <si>
    <t>monatlich</t>
  </si>
  <si>
    <t>Entgelt Messstellenbetrieb Zähler</t>
  </si>
  <si>
    <t>Entgelt Messung</t>
  </si>
  <si>
    <t>Lastgangmessung</t>
  </si>
  <si>
    <t>vierteljährlich</t>
  </si>
  <si>
    <t>halbjährlich</t>
  </si>
  <si>
    <t>Messentgelt</t>
  </si>
  <si>
    <t>Smart-Meter - jährlich</t>
  </si>
  <si>
    <t>Smart-Meter - monatlich</t>
  </si>
  <si>
    <t>=WENN(B18='Mess- und Abrechnungspreise'!C3;'Mess- und Abrechnungspreise'!E3;
WENN(B18='Mess- und Abrechnungspreise'!C4;'Mess- und A31Abrechnungspreise'!E4;
WENN(B18='Mess- und Abrechnungspreise'!C5;'Mess- und Abrechnungspreise'!E5;
WENN(B18='Mess- und Abrechnungspreise'!C6;'Mess- und Abrechnungspreise'!E6;
WENN(B18='Mess- und Abrechnungspreise'!C7;'Mess- und Abrechnungspreise'!E7;
WENN(B18='Mess- und Abrechnungspreise'!C8;'Mess- und Abrechnungspreise'!E8;0))))))</t>
  </si>
  <si>
    <t>Abrechnungsart_RLM</t>
  </si>
  <si>
    <t xml:space="preserve">Jahresarbeit </t>
  </si>
  <si>
    <t>die entweder Arbeit &gt; 1.500.000 kWh oder Leistung &gt; 500 kW beziehen</t>
  </si>
  <si>
    <t>1. Januar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</si>
</sst>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0"/>
    <numFmt numFmtId="174" formatCode="#,##0.0000"/>
    <numFmt numFmtId="175" formatCode="#,##0.00000"/>
    <numFmt numFmtId="176" formatCode="0.000000"/>
    <numFmt numFmtId="177" formatCode="#,##0.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32" borderId="10" xfId="0" applyNumberFormat="1" applyFont="1" applyFill="1" applyBorder="1" applyAlignment="1" applyProtection="1">
      <alignment/>
      <protection locked="0"/>
    </xf>
    <xf numFmtId="4" fontId="0" fillId="32" borderId="11" xfId="0" applyNumberFormat="1" applyFill="1" applyBorder="1" applyAlignment="1">
      <alignment horizontal="right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4" fontId="0" fillId="0" borderId="12" xfId="42" applyNumberFormat="1" applyFon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/>
    </xf>
    <xf numFmtId="0" fontId="4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4" fontId="1" fillId="33" borderId="13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" fontId="1" fillId="33" borderId="13" xfId="0" applyNumberFormat="1" applyFont="1" applyFill="1" applyBorder="1" applyAlignment="1" applyProtection="1">
      <alignment horizontal="right"/>
      <protection/>
    </xf>
    <xf numFmtId="4" fontId="1" fillId="32" borderId="10" xfId="0" applyNumberFormat="1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right"/>
      <protection locked="0"/>
    </xf>
    <xf numFmtId="49" fontId="0" fillId="32" borderId="10" xfId="0" applyNumberForma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175" fontId="0" fillId="0" borderId="0" xfId="0" applyNumberFormat="1" applyFill="1" applyAlignment="1" applyProtection="1">
      <alignment wrapText="1"/>
      <protection/>
    </xf>
    <xf numFmtId="4" fontId="0" fillId="33" borderId="0" xfId="0" applyNumberFormat="1" applyFill="1" applyAlignment="1" applyProtection="1">
      <alignment wrapText="1"/>
      <protection/>
    </xf>
    <xf numFmtId="4" fontId="0" fillId="0" borderId="0" xfId="0" applyNumberFormat="1" applyAlignment="1" applyProtection="1">
      <alignment horizontal="right" wrapText="1"/>
      <protection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0" fillId="0" borderId="18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2" borderId="19" xfId="42" applyNumberFormat="1" applyFont="1" applyFill="1" applyBorder="1" applyAlignment="1">
      <alignment horizontal="right" vertical="center"/>
    </xf>
    <xf numFmtId="4" fontId="0" fillId="32" borderId="20" xfId="42" applyNumberFormat="1" applyFont="1" applyFill="1" applyBorder="1" applyAlignment="1">
      <alignment horizontal="right" vertical="center"/>
    </xf>
    <xf numFmtId="4" fontId="0" fillId="32" borderId="14" xfId="42" applyNumberFormat="1" applyFont="1" applyFill="1" applyBorder="1" applyAlignment="1">
      <alignment horizontal="right" vertical="center"/>
    </xf>
    <xf numFmtId="4" fontId="0" fillId="32" borderId="15" xfId="42" applyNumberFormat="1" applyFont="1" applyFill="1" applyBorder="1" applyAlignment="1">
      <alignment horizontal="right" vertical="center"/>
    </xf>
    <xf numFmtId="4" fontId="0" fillId="32" borderId="16" xfId="42" applyNumberFormat="1" applyFont="1" applyFill="1" applyBorder="1" applyAlignment="1">
      <alignment horizontal="right" vertical="center"/>
    </xf>
    <xf numFmtId="4" fontId="0" fillId="32" borderId="17" xfId="42" applyNumberFormat="1" applyFont="1" applyFill="1" applyBorder="1" applyAlignment="1">
      <alignment horizontal="right" vertical="center"/>
    </xf>
    <xf numFmtId="4" fontId="0" fillId="32" borderId="21" xfId="0" applyNumberFormat="1" applyFill="1" applyBorder="1" applyAlignment="1">
      <alignment horizontal="right"/>
    </xf>
    <xf numFmtId="4" fontId="0" fillId="32" borderId="22" xfId="0" applyNumberFormat="1" applyFill="1" applyBorder="1" applyAlignment="1">
      <alignment horizontal="right"/>
    </xf>
    <xf numFmtId="4" fontId="0" fillId="32" borderId="19" xfId="0" applyNumberFormat="1" applyFill="1" applyBorder="1" applyAlignment="1" applyProtection="1">
      <alignment wrapText="1"/>
      <protection/>
    </xf>
    <xf numFmtId="4" fontId="0" fillId="32" borderId="14" xfId="0" applyNumberFormat="1" applyFill="1" applyBorder="1" applyAlignment="1" applyProtection="1">
      <alignment wrapText="1"/>
      <protection/>
    </xf>
    <xf numFmtId="4" fontId="0" fillId="32" borderId="16" xfId="0" applyNumberFormat="1" applyFill="1" applyBorder="1" applyAlignment="1" applyProtection="1">
      <alignment wrapText="1"/>
      <protection/>
    </xf>
    <xf numFmtId="176" fontId="0" fillId="32" borderId="21" xfId="0" applyNumberFormat="1" applyFill="1" applyBorder="1" applyAlignment="1" applyProtection="1">
      <alignment wrapText="1"/>
      <protection/>
    </xf>
    <xf numFmtId="176" fontId="0" fillId="32" borderId="22" xfId="0" applyNumberFormat="1" applyFill="1" applyBorder="1" applyAlignment="1" applyProtection="1">
      <alignment wrapText="1"/>
      <protection/>
    </xf>
    <xf numFmtId="177" fontId="0" fillId="32" borderId="21" xfId="0" applyNumberFormat="1" applyFill="1" applyBorder="1" applyAlignment="1" applyProtection="1">
      <alignment wrapText="1"/>
      <protection/>
    </xf>
    <xf numFmtId="177" fontId="0" fillId="32" borderId="22" xfId="0" applyNumberFormat="1" applyFill="1" applyBorder="1" applyAlignment="1" applyProtection="1">
      <alignment wrapText="1"/>
      <protection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2" fontId="0" fillId="0" borderId="17" xfId="0" applyNumberFormat="1" applyFont="1" applyFill="1" applyBorder="1" applyAlignment="1">
      <alignment horizontal="right"/>
    </xf>
    <xf numFmtId="2" fontId="0" fillId="32" borderId="11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4" fontId="1" fillId="0" borderId="0" xfId="0" applyNumberFormat="1" applyFont="1" applyAlignment="1" applyProtection="1">
      <alignment wrapText="1"/>
      <protection/>
    </xf>
    <xf numFmtId="14" fontId="1" fillId="0" borderId="0" xfId="0" applyNumberFormat="1" applyFont="1" applyFill="1" applyAlignment="1" applyProtection="1" quotePrefix="1">
      <alignment horizontal="center"/>
      <protection/>
    </xf>
    <xf numFmtId="172" fontId="0" fillId="32" borderId="20" xfId="0" applyNumberFormat="1" applyFill="1" applyBorder="1" applyAlignment="1" applyProtection="1">
      <alignment/>
      <protection/>
    </xf>
    <xf numFmtId="172" fontId="0" fillId="32" borderId="15" xfId="0" applyNumberFormat="1" applyFill="1" applyBorder="1" applyAlignment="1" applyProtection="1">
      <alignment/>
      <protection/>
    </xf>
    <xf numFmtId="172" fontId="0" fillId="32" borderId="17" xfId="0" applyNumberFormat="1" applyFill="1" applyBorder="1" applyAlignment="1" applyProtection="1">
      <alignment/>
      <protection/>
    </xf>
    <xf numFmtId="0" fontId="6" fillId="0" borderId="0" xfId="0" applyFont="1" applyAlignment="1" quotePrefix="1">
      <alignment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Messung_Abrechnung_Sulzbach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46.8515625" style="35" customWidth="1"/>
    <col min="2" max="2" width="27.7109375" style="78" bestFit="1" customWidth="1"/>
    <col min="3" max="3" width="8.140625" style="35" bestFit="1" customWidth="1"/>
    <col min="4" max="4" width="47.00390625" style="79" bestFit="1" customWidth="1"/>
    <col min="5" max="5" width="28.28125" style="80" customWidth="1"/>
    <col min="6" max="6" width="4.57421875" style="35" customWidth="1"/>
    <col min="7" max="7" width="11.421875" style="35" customWidth="1"/>
    <col min="8" max="16384" width="11.421875" style="93" customWidth="1"/>
  </cols>
  <sheetData>
    <row r="1" spans="1:7" s="92" customFormat="1" ht="20.25">
      <c r="A1" s="7" t="s">
        <v>52</v>
      </c>
      <c r="B1" s="8" t="s">
        <v>56</v>
      </c>
      <c r="C1" s="9"/>
      <c r="D1" s="10"/>
      <c r="E1" s="11"/>
      <c r="F1" s="9"/>
      <c r="G1" s="9"/>
    </row>
    <row r="2" spans="1:7" s="92" customFormat="1" ht="12.75">
      <c r="A2" s="9" t="s">
        <v>4</v>
      </c>
      <c r="B2" s="12"/>
      <c r="C2" s="9"/>
      <c r="D2" s="10"/>
      <c r="E2" s="11"/>
      <c r="F2" s="9"/>
      <c r="G2" s="9"/>
    </row>
    <row r="3" spans="1:7" s="92" customFormat="1" ht="12.75">
      <c r="A3" s="9" t="s">
        <v>51</v>
      </c>
      <c r="B3" s="87" t="s">
        <v>82</v>
      </c>
      <c r="C3" s="9"/>
      <c r="D3" s="10"/>
      <c r="E3" s="11"/>
      <c r="F3" s="9"/>
      <c r="G3" s="9"/>
    </row>
    <row r="4" spans="1:7" s="92" customFormat="1" ht="15.75">
      <c r="A4" s="13" t="s">
        <v>5</v>
      </c>
      <c r="B4" s="14"/>
      <c r="C4" s="9"/>
      <c r="D4" s="10"/>
      <c r="E4" s="11"/>
      <c r="F4" s="9"/>
      <c r="G4" s="9"/>
    </row>
    <row r="5" spans="1:7" s="92" customFormat="1" ht="13.5" thickBot="1">
      <c r="A5" s="9" t="s">
        <v>81</v>
      </c>
      <c r="B5" s="14"/>
      <c r="C5" s="9"/>
      <c r="D5" s="15"/>
      <c r="E5" s="11"/>
      <c r="F5" s="9"/>
      <c r="G5" s="9"/>
    </row>
    <row r="6" spans="1:7" s="92" customFormat="1" ht="14.25" thickBot="1" thickTop="1">
      <c r="A6" s="16" t="s">
        <v>80</v>
      </c>
      <c r="B6" s="2">
        <v>2000000</v>
      </c>
      <c r="C6" s="16" t="s">
        <v>1</v>
      </c>
      <c r="D6" s="17" t="s">
        <v>7</v>
      </c>
      <c r="E6" s="18">
        <f>IF(AND(B6&lt;1500000,B7&lt;500),"Eingabefehler",'Rechnung Arbeit und Leistung'!B20)</f>
        <v>6702.331530453934</v>
      </c>
      <c r="F6" s="9" t="s">
        <v>48</v>
      </c>
      <c r="G6" s="9"/>
    </row>
    <row r="7" spans="1:7" s="92" customFormat="1" ht="14.25" thickBot="1" thickTop="1">
      <c r="A7" s="16" t="s">
        <v>0</v>
      </c>
      <c r="B7" s="29">
        <v>1000</v>
      </c>
      <c r="C7" s="16" t="s">
        <v>2</v>
      </c>
      <c r="D7" s="17" t="s">
        <v>10</v>
      </c>
      <c r="E7" s="18">
        <f>IF(AND(B6&lt;1500000,B7&lt;500),"Eingabefehler",'Rechnung Arbeit und Leistung'!B28)</f>
        <v>12685.422818336114</v>
      </c>
      <c r="F7" s="9" t="s">
        <v>48</v>
      </c>
      <c r="G7" s="9"/>
    </row>
    <row r="8" spans="1:7" s="92" customFormat="1" ht="14.25" thickBot="1" thickTop="1">
      <c r="A8" s="16" t="s">
        <v>8</v>
      </c>
      <c r="B8" s="30" t="s">
        <v>43</v>
      </c>
      <c r="C8" s="9"/>
      <c r="D8" s="17" t="s">
        <v>70</v>
      </c>
      <c r="E8" s="18">
        <f>IF(B8='Mess- und Abrechnungspreise'!C10,'Mess- und Abrechnungspreise'!E10,IF(B8='Mess- und Abrechnungspreise'!C11,'Mess- und Abrechnungspreise'!E11,0))</f>
        <v>96.97</v>
      </c>
      <c r="F8" s="9" t="s">
        <v>48</v>
      </c>
      <c r="G8" s="9"/>
    </row>
    <row r="9" spans="1:7" s="92" customFormat="1" ht="14.25" thickBot="1" thickTop="1">
      <c r="A9" s="19" t="s">
        <v>67</v>
      </c>
      <c r="B9" s="30" t="s">
        <v>72</v>
      </c>
      <c r="C9" s="9"/>
      <c r="D9" s="17" t="s">
        <v>71</v>
      </c>
      <c r="E9" s="18">
        <f>IF(B9='Mess- und Abrechnungspreise'!F16,'Mess- und Abrechnungspreise'!F11,0)</f>
        <v>19.86</v>
      </c>
      <c r="F9" s="9" t="s">
        <v>48</v>
      </c>
      <c r="G9" s="9"/>
    </row>
    <row r="10" spans="1:7" s="92" customFormat="1" ht="14.25" thickBot="1" thickTop="1">
      <c r="A10" s="19" t="s">
        <v>49</v>
      </c>
      <c r="B10" s="30" t="s">
        <v>45</v>
      </c>
      <c r="C10" s="9"/>
      <c r="D10" s="17" t="s">
        <v>57</v>
      </c>
      <c r="E10" s="18">
        <f>IF(B10=0,0,'Mess- und Abrechnungspreise'!D16)</f>
        <v>333</v>
      </c>
      <c r="F10" s="9" t="s">
        <v>48</v>
      </c>
      <c r="G10" s="9"/>
    </row>
    <row r="11" spans="1:7" s="92" customFormat="1" ht="14.25" thickBot="1" thickTop="1">
      <c r="A11" s="19" t="s">
        <v>54</v>
      </c>
      <c r="B11" s="30" t="s">
        <v>61</v>
      </c>
      <c r="C11" s="9"/>
      <c r="D11" s="17" t="s">
        <v>58</v>
      </c>
      <c r="E11" s="18">
        <f>IF(B11='Mess- und Abrechnungspreise'!C18,'Mess- und Abrechnungspreise'!D18,IF(B11='Mess- und Abrechnungspreise'!C19,'Mess- und Abrechnungspreise'!D19,0))</f>
        <v>159</v>
      </c>
      <c r="F11" s="9" t="s">
        <v>48</v>
      </c>
      <c r="G11" s="9"/>
    </row>
    <row r="12" spans="1:7" s="92" customFormat="1" ht="14.25" thickBot="1" thickTop="1">
      <c r="A12" s="16" t="s">
        <v>3</v>
      </c>
      <c r="B12" s="31" t="s">
        <v>69</v>
      </c>
      <c r="C12" s="9"/>
      <c r="D12" s="17" t="s">
        <v>50</v>
      </c>
      <c r="E12" s="18">
        <f>IF(B12='Mess- und Abrechnungspreise'!A3,'Mess- und Abrechnungspreise'!B3,IF(B12='Mess- und Abrechnungspreise'!A4,'Mess- und Abrechnungspreise'!B4,IF(B12='Mess- und Abrechnungspreise'!A5,'Mess- und Abrechnungspreise'!B5,IF(B12='Mess- und Abrechnungspreise'!A6,'Mess- und Abrechnungspreise'!B6,0))))</f>
        <v>0</v>
      </c>
      <c r="F12" s="9" t="s">
        <v>48</v>
      </c>
      <c r="G12" s="9"/>
    </row>
    <row r="13" spans="1:7" s="92" customFormat="1" ht="16.5" thickTop="1">
      <c r="A13" s="20"/>
      <c r="B13" s="21" t="s">
        <v>59</v>
      </c>
      <c r="C13" s="20"/>
      <c r="D13" s="22" t="s">
        <v>11</v>
      </c>
      <c r="E13" s="23">
        <f>SUM(E6:E12)</f>
        <v>19996.58434879005</v>
      </c>
      <c r="F13" s="24" t="s">
        <v>48</v>
      </c>
      <c r="G13" s="9"/>
    </row>
    <row r="14" spans="1:7" s="92" customFormat="1" ht="15.75">
      <c r="A14" s="13" t="s">
        <v>6</v>
      </c>
      <c r="B14" s="14"/>
      <c r="C14" s="9"/>
      <c r="D14" s="10"/>
      <c r="E14" s="11"/>
      <c r="F14" s="9"/>
      <c r="G14" s="9"/>
    </row>
    <row r="15" spans="1:7" s="92" customFormat="1" ht="13.5" thickBot="1">
      <c r="A15" s="9"/>
      <c r="B15" s="14"/>
      <c r="C15" s="9"/>
      <c r="D15" s="15"/>
      <c r="E15" s="11"/>
      <c r="F15" s="9"/>
      <c r="G15" s="9"/>
    </row>
    <row r="16" spans="1:7" s="92" customFormat="1" ht="14.25" thickBot="1" thickTop="1">
      <c r="A16" s="16" t="s">
        <v>37</v>
      </c>
      <c r="B16" s="4">
        <v>30000</v>
      </c>
      <c r="C16" s="16" t="s">
        <v>1</v>
      </c>
      <c r="D16" s="17" t="s">
        <v>36</v>
      </c>
      <c r="E16" s="25">
        <f>IF(AND(B16&lt;=2000,B16&gt;0),'Rechnung Arbeit und Leistung'!F2,IF(AND(B16&gt;2000,B16&lt;=10000),'Rechnung Arbeit und Leistung'!F3,IF(AND(B16&lt;=25000,B16&gt;10000),'Rechnung Arbeit und Leistung'!F4,IF(AND(B16&gt;25000,B16&lt;=50000),'Rechnung Arbeit und Leistung'!F5,IF(AND(B16&gt;50000,B16&lt;=200000),'Rechnung Arbeit und Leistung'!F6,IF(AND(B16&gt;200000,B16&lt;=500000),'Rechnung Arbeit und Leistung'!F7,IF(AND(B16&gt;500000,B16&lt;=1500000),'Rechnung Arbeit und Leistung'!F8,IF(B16&gt;1500000,"Leistungsmessung erforderlich",))))))))</f>
        <v>408.304</v>
      </c>
      <c r="F16" s="26" t="s">
        <v>48</v>
      </c>
      <c r="G16" s="9"/>
    </row>
    <row r="17" spans="1:7" s="92" customFormat="1" ht="14.25" thickBot="1" thickTop="1">
      <c r="A17" s="16" t="s">
        <v>8</v>
      </c>
      <c r="B17" s="30" t="s">
        <v>41</v>
      </c>
      <c r="C17" s="9"/>
      <c r="D17" s="17" t="s">
        <v>70</v>
      </c>
      <c r="E17" s="25">
        <f>IF(B17='Mess- und Abrechnungspreise'!C3,'Mess- und Abrechnungspreise'!E3,IF(B17='Mess- und Abrechnungspreise'!C4,'Mess- und Abrechnungspreise'!E4,IF(B17='Mess- und Abrechnungspreise'!C5,'Mess- und Abrechnungspreise'!E5,IF(B17='Mess- und Abrechnungspreise'!C6,'Mess- und Abrechnungspreise'!E6,IF(B17='Mess- und Abrechnungspreise'!C7,'Mess- und Abrechnungspreise'!E7,IF(B17='Mess- und Abrechnungspreise'!C8,'Mess- und Abrechnungspreise'!E8,0))))))</f>
        <v>16.95</v>
      </c>
      <c r="F17" s="26" t="s">
        <v>48</v>
      </c>
      <c r="G17" s="9"/>
    </row>
    <row r="18" spans="1:7" s="92" customFormat="1" ht="14.25" thickBot="1" thickTop="1">
      <c r="A18" s="16" t="s">
        <v>67</v>
      </c>
      <c r="B18" s="31" t="s">
        <v>68</v>
      </c>
      <c r="C18" s="9"/>
      <c r="D18" s="17" t="s">
        <v>71</v>
      </c>
      <c r="E18" s="25">
        <f>IF(B18='Mess- und Abrechnungspreise'!H3,'Mess- und Abrechnungspreise'!G3,IF(B18='Mess- und Abrechnungspreise'!H4,'Mess- und Abrechnungspreise'!G4,IF(B18='Mess- und Abrechnungspreise'!H5,'Mess- und Abrechnungspreise'!G5,IF(B18='Mess- und Abrechnungspreise'!H8,'Mess- und Abrechnungspreise'!G8,0))))</f>
        <v>2.79</v>
      </c>
      <c r="F18" s="26" t="s">
        <v>48</v>
      </c>
      <c r="G18" s="9"/>
    </row>
    <row r="19" spans="1:7" s="92" customFormat="1" ht="14.25" thickBot="1" thickTop="1">
      <c r="A19" s="16" t="s">
        <v>3</v>
      </c>
      <c r="B19" s="31" t="s">
        <v>68</v>
      </c>
      <c r="C19" s="9"/>
      <c r="D19" s="17" t="s">
        <v>50</v>
      </c>
      <c r="E19" s="25">
        <f>IF(B19='Mess- und Abrechnungspreise'!A3,'Mess- und Abrechnungspreise'!B3,IF(B19='Mess- und Abrechnungspreise'!A4,'Mess- und Abrechnungspreise'!B4,IF(B19='Mess- und Abrechnungspreise'!A5,'Mess- und Abrechnungspreise'!B5,IF(B19='Mess- und Abrechnungspreise'!A6,'Mess- und Abrechnungspreise'!B6,0))))</f>
        <v>0</v>
      </c>
      <c r="F19" s="26" t="s">
        <v>48</v>
      </c>
      <c r="G19" s="9"/>
    </row>
    <row r="20" spans="1:7" s="92" customFormat="1" ht="17.25" thickBot="1" thickTop="1">
      <c r="A20" s="20"/>
      <c r="B20" s="27"/>
      <c r="C20" s="20"/>
      <c r="D20" s="22" t="s">
        <v>11</v>
      </c>
      <c r="E20" s="28">
        <f>SUM(E16:E19)</f>
        <v>428.044</v>
      </c>
      <c r="F20" s="24" t="s">
        <v>48</v>
      </c>
      <c r="G20" s="9"/>
    </row>
    <row r="21" spans="1:7" s="92" customFormat="1" ht="13.5" thickTop="1">
      <c r="A21" s="20"/>
      <c r="B21" s="20"/>
      <c r="C21" s="20"/>
      <c r="D21" s="20"/>
      <c r="E21" s="20"/>
      <c r="F21" s="20"/>
      <c r="G21" s="9"/>
    </row>
    <row r="23" spans="1:2" ht="12.75">
      <c r="A23" s="81"/>
      <c r="B23" s="82"/>
    </row>
    <row r="24" ht="12.75">
      <c r="C24" s="80"/>
    </row>
    <row r="25" ht="12.75">
      <c r="C25" s="80"/>
    </row>
    <row r="26" ht="12.75">
      <c r="C26" s="80"/>
    </row>
    <row r="27" ht="12.75">
      <c r="C27" s="80"/>
    </row>
    <row r="28" ht="12.75">
      <c r="C28" s="80"/>
    </row>
    <row r="29" ht="12.75">
      <c r="C29" s="80"/>
    </row>
  </sheetData>
  <sheetProtection password="8751" sheet="1" selectLockedCells="1"/>
  <protectedRanges>
    <protectedRange sqref="B16:B19 B6:B12" name="Bereich1"/>
  </protectedRanges>
  <dataValidations count="11">
    <dataValidation type="list" allowBlank="1" showInputMessage="1" showErrorMessage="1" sqref="B17">
      <formula1>ZähleroLM</formula1>
    </dataValidation>
    <dataValidation type="list" allowBlank="1" showInputMessage="1" showErrorMessage="1" sqref="B18:B19">
      <formula1>Abrechnungsart</formula1>
    </dataValidation>
    <dataValidation allowBlank="1" showInputMessage="1" showErrorMessage="1" promptTitle="Zählertyp" sqref="D12"/>
    <dataValidation type="whole" allowBlank="1" showInputMessage="1" showErrorMessage="1" sqref="B16">
      <formula1>0</formula1>
      <formula2>1500000</formula2>
    </dataValidation>
    <dataValidation type="whole" allowBlank="1" showInputMessage="1" showErrorMessage="1" sqref="B7">
      <formula1>0</formula1>
      <formula2>100000000</formula2>
    </dataValidation>
    <dataValidation type="whole" allowBlank="1" showInputMessage="1" showErrorMessage="1" sqref="B6">
      <formula1>0</formula1>
      <formula2>10000000000</formula2>
    </dataValidation>
    <dataValidation type="list" showInputMessage="1" showErrorMessage="1" errorTitle="Falscher Wert!" error="Sie müssen Zahlen im zulässigen Werterahmen eingeben!" sqref="B8">
      <formula1>ZählermLM</formula1>
    </dataValidation>
    <dataValidation type="list" showInputMessage="1" showErrorMessage="1" errorTitle="Falscher Wert!" error="Sie müssen Zahlen im zulässigen Werterahmen eingeben!" sqref="B10">
      <formula1>Mengenumwerter</formula1>
    </dataValidation>
    <dataValidation type="list" showInputMessage="1" showErrorMessage="1" errorTitle="Falscher Wert!" error="Sie müssen Zahlen im zulässigen Werterahmen eingeben!" sqref="B11">
      <formula1>Datenlogger</formula1>
    </dataValidation>
    <dataValidation type="list" showInputMessage="1" showErrorMessage="1" errorTitle="Falscher Wert!" error="Sie müssen Zahlen im zulässigen Werterahmen eingeben!" sqref="B9">
      <formula1>Lastgangmessung</formula1>
    </dataValidation>
    <dataValidation type="list" allowBlank="1" showInputMessage="1" showErrorMessage="1" sqref="B12">
      <formula1>Abrechnungsart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34" sqref="G34"/>
    </sheetView>
  </sheetViews>
  <sheetFormatPr defaultColWidth="11.421875" defaultRowHeight="12.75"/>
  <cols>
    <col min="1" max="1" width="20.57421875" style="0" bestFit="1" customWidth="1"/>
    <col min="2" max="2" width="19.28125" style="1" bestFit="1" customWidth="1"/>
    <col min="3" max="3" width="20.57421875" style="0" bestFit="1" customWidth="1"/>
    <col min="4" max="5" width="19.00390625" style="0" customWidth="1"/>
    <col min="6" max="6" width="18.140625" style="0" customWidth="1"/>
    <col min="7" max="7" width="14.28125" style="0" customWidth="1"/>
    <col min="9" max="9" width="20.140625" style="0" customWidth="1"/>
  </cols>
  <sheetData>
    <row r="1" spans="1:9" ht="25.5">
      <c r="A1" s="77" t="s">
        <v>3</v>
      </c>
      <c r="B1" s="77" t="s">
        <v>9</v>
      </c>
      <c r="C1" s="77" t="s">
        <v>8</v>
      </c>
      <c r="D1" s="77" t="s">
        <v>66</v>
      </c>
      <c r="E1" s="77" t="s">
        <v>39</v>
      </c>
      <c r="F1" s="77" t="s">
        <v>75</v>
      </c>
      <c r="G1" s="77" t="s">
        <v>75</v>
      </c>
      <c r="H1" s="85" t="s">
        <v>67</v>
      </c>
      <c r="I1" s="77" t="s">
        <v>79</v>
      </c>
    </row>
    <row r="2" spans="1:7" ht="12.75">
      <c r="A2" s="44"/>
      <c r="B2" s="45" t="s">
        <v>48</v>
      </c>
      <c r="C2" s="44"/>
      <c r="D2" s="51" t="s">
        <v>48</v>
      </c>
      <c r="E2" s="51" t="s">
        <v>48</v>
      </c>
      <c r="F2" s="45" t="s">
        <v>48</v>
      </c>
      <c r="G2" s="45" t="s">
        <v>48</v>
      </c>
    </row>
    <row r="3" spans="1:9" ht="12.75">
      <c r="A3" s="73" t="s">
        <v>68</v>
      </c>
      <c r="B3" s="84">
        <v>0</v>
      </c>
      <c r="C3" s="73" t="s">
        <v>40</v>
      </c>
      <c r="D3" s="52">
        <f aca="true" t="shared" si="0" ref="D3:D8">E3+F3</f>
        <v>8.66</v>
      </c>
      <c r="E3" s="58">
        <v>5.87</v>
      </c>
      <c r="F3" s="59">
        <v>2.79</v>
      </c>
      <c r="G3" s="59">
        <f>F3</f>
        <v>2.79</v>
      </c>
      <c r="H3" t="str">
        <f>A3</f>
        <v>jährlich</v>
      </c>
      <c r="I3" s="73" t="s">
        <v>68</v>
      </c>
    </row>
    <row r="4" spans="1:8" ht="12.75">
      <c r="A4" s="73" t="s">
        <v>74</v>
      </c>
      <c r="B4" s="84">
        <v>0</v>
      </c>
      <c r="C4" s="73" t="s">
        <v>41</v>
      </c>
      <c r="D4" s="52">
        <f t="shared" si="0"/>
        <v>19.74</v>
      </c>
      <c r="E4" s="60">
        <v>16.95</v>
      </c>
      <c r="F4" s="61">
        <f>F3</f>
        <v>2.79</v>
      </c>
      <c r="G4" s="61">
        <f>G3*2</f>
        <v>5.58</v>
      </c>
      <c r="H4" t="str">
        <f>A4</f>
        <v>halbjährlich</v>
      </c>
    </row>
    <row r="5" spans="1:8" ht="12.75">
      <c r="A5" s="73" t="s">
        <v>73</v>
      </c>
      <c r="B5" s="84">
        <v>0</v>
      </c>
      <c r="C5" s="73" t="s">
        <v>42</v>
      </c>
      <c r="D5" s="52">
        <f t="shared" si="0"/>
        <v>90.74000000000001</v>
      </c>
      <c r="E5" s="60">
        <v>87.95</v>
      </c>
      <c r="F5" s="61">
        <f>F4</f>
        <v>2.79</v>
      </c>
      <c r="G5" s="61">
        <f>G4*2</f>
        <v>11.16</v>
      </c>
      <c r="H5" t="str">
        <f>A5</f>
        <v>vierteljährlich</v>
      </c>
    </row>
    <row r="6" spans="1:8" ht="12.75">
      <c r="A6" s="73" t="s">
        <v>69</v>
      </c>
      <c r="B6" s="84">
        <v>0</v>
      </c>
      <c r="C6" s="73" t="s">
        <v>53</v>
      </c>
      <c r="D6" s="52">
        <f t="shared" si="0"/>
        <v>99.76</v>
      </c>
      <c r="E6" s="62">
        <v>96.97</v>
      </c>
      <c r="F6" s="63">
        <f>F3</f>
        <v>2.79</v>
      </c>
      <c r="G6" s="63">
        <f>G5*3</f>
        <v>33.480000000000004</v>
      </c>
      <c r="H6" t="str">
        <f>A6</f>
        <v>monatlich</v>
      </c>
    </row>
    <row r="7" spans="1:8" ht="12.75">
      <c r="A7" s="73"/>
      <c r="C7" s="73" t="s">
        <v>76</v>
      </c>
      <c r="D7" s="52">
        <f t="shared" si="0"/>
        <v>54.79</v>
      </c>
      <c r="E7" s="58">
        <v>52</v>
      </c>
      <c r="F7" s="59">
        <f>F6</f>
        <v>2.79</v>
      </c>
      <c r="G7" s="59">
        <f>F7</f>
        <v>2.79</v>
      </c>
      <c r="H7" t="str">
        <f>H3</f>
        <v>jährlich</v>
      </c>
    </row>
    <row r="8" spans="3:8" ht="12.75">
      <c r="C8" s="73" t="s">
        <v>77</v>
      </c>
      <c r="D8" s="52">
        <f t="shared" si="0"/>
        <v>71.86</v>
      </c>
      <c r="E8" s="62">
        <f>E7</f>
        <v>52</v>
      </c>
      <c r="F8" s="63">
        <f>F10</f>
        <v>19.86</v>
      </c>
      <c r="G8" s="63">
        <f>F8</f>
        <v>19.86</v>
      </c>
      <c r="H8" t="str">
        <f>H6</f>
        <v>monatlich</v>
      </c>
    </row>
    <row r="9" spans="1:7" ht="12.75">
      <c r="A9" s="46"/>
      <c r="B9" s="47"/>
      <c r="C9" s="73"/>
      <c r="D9" s="52"/>
      <c r="E9" s="5"/>
      <c r="F9" s="53"/>
      <c r="G9" s="53"/>
    </row>
    <row r="10" spans="1:7" ht="12.75">
      <c r="A10" s="73"/>
      <c r="B10" s="47"/>
      <c r="C10" s="73" t="s">
        <v>55</v>
      </c>
      <c r="D10" s="52">
        <f>E10+F10</f>
        <v>53.5</v>
      </c>
      <c r="E10" s="58">
        <v>33.64</v>
      </c>
      <c r="F10" s="59">
        <v>19.86</v>
      </c>
      <c r="G10" s="59">
        <f>F10</f>
        <v>19.86</v>
      </c>
    </row>
    <row r="11" spans="1:7" ht="12.75">
      <c r="A11" s="46"/>
      <c r="B11" s="47"/>
      <c r="C11" s="73" t="s">
        <v>43</v>
      </c>
      <c r="D11" s="52">
        <f>E11+F11</f>
        <v>116.83</v>
      </c>
      <c r="E11" s="62">
        <v>96.97</v>
      </c>
      <c r="F11" s="63">
        <f>F10</f>
        <v>19.86</v>
      </c>
      <c r="G11" s="63">
        <f>G10</f>
        <v>19.86</v>
      </c>
    </row>
    <row r="12" spans="1:6" ht="12.75">
      <c r="A12" s="46"/>
      <c r="B12" s="47"/>
      <c r="C12" s="73"/>
      <c r="D12" s="52"/>
      <c r="E12" s="55"/>
      <c r="F12" s="56"/>
    </row>
    <row r="13" spans="1:6" ht="12.75">
      <c r="A13" s="44"/>
      <c r="B13" s="48"/>
      <c r="C13" s="74"/>
      <c r="D13" s="54"/>
      <c r="E13" s="55"/>
      <c r="F13" s="56"/>
    </row>
    <row r="14" spans="1:6" ht="12.75">
      <c r="A14" s="44"/>
      <c r="B14" s="48"/>
      <c r="C14" s="75" t="s">
        <v>44</v>
      </c>
      <c r="D14" s="54"/>
      <c r="E14" s="55"/>
      <c r="F14" s="56"/>
    </row>
    <row r="15" spans="1:6" ht="12.75">
      <c r="A15" s="44"/>
      <c r="B15" s="48"/>
      <c r="C15" s="75"/>
      <c r="D15" s="54"/>
      <c r="E15" s="55"/>
      <c r="F15" s="56"/>
    </row>
    <row r="16" spans="1:6" ht="12.75">
      <c r="A16" s="44"/>
      <c r="B16" s="48"/>
      <c r="C16" s="74" t="s">
        <v>45</v>
      </c>
      <c r="D16" s="52">
        <f>E16</f>
        <v>333</v>
      </c>
      <c r="E16" s="3">
        <v>333</v>
      </c>
      <c r="F16" s="56" t="s">
        <v>72</v>
      </c>
    </row>
    <row r="17" spans="1:6" ht="12.75">
      <c r="A17" s="44"/>
      <c r="B17" s="48"/>
      <c r="C17" s="74"/>
      <c r="D17" s="52"/>
      <c r="E17" s="6"/>
      <c r="F17" s="56"/>
    </row>
    <row r="18" spans="1:6" ht="12.75">
      <c r="A18" s="44"/>
      <c r="B18" s="48"/>
      <c r="C18" s="74" t="s">
        <v>60</v>
      </c>
      <c r="D18" s="52">
        <f>E18</f>
        <v>99.09</v>
      </c>
      <c r="E18" s="64">
        <v>99.09</v>
      </c>
      <c r="F18" s="56"/>
    </row>
    <row r="19" spans="1:6" ht="12.75">
      <c r="A19" s="44"/>
      <c r="B19" s="48"/>
      <c r="C19" s="74" t="s">
        <v>61</v>
      </c>
      <c r="D19" s="52">
        <f>E19</f>
        <v>159</v>
      </c>
      <c r="E19" s="65">
        <v>159</v>
      </c>
      <c r="F19" s="56"/>
    </row>
    <row r="20" spans="1:6" ht="12.75">
      <c r="A20" s="44"/>
      <c r="B20" s="48"/>
      <c r="C20" s="74"/>
      <c r="D20" s="52"/>
      <c r="E20" s="55"/>
      <c r="F20" s="56"/>
    </row>
    <row r="21" spans="1:7" ht="12.75">
      <c r="A21" s="44"/>
      <c r="B21" s="48"/>
      <c r="C21" s="74" t="s">
        <v>46</v>
      </c>
      <c r="D21" s="52">
        <f>E21</f>
        <v>0</v>
      </c>
      <c r="E21" s="64"/>
      <c r="F21" s="56"/>
      <c r="G21" s="64">
        <v>32.94</v>
      </c>
    </row>
    <row r="22" spans="1:7" ht="12.75">
      <c r="A22" s="49"/>
      <c r="B22" s="50"/>
      <c r="C22" s="76" t="s">
        <v>47</v>
      </c>
      <c r="D22" s="83">
        <f>E22</f>
        <v>0</v>
      </c>
      <c r="E22" s="65"/>
      <c r="F22" s="57"/>
      <c r="G22" s="65">
        <v>59.91</v>
      </c>
    </row>
  </sheetData>
  <sheetProtection/>
  <dataValidations count="2">
    <dataValidation allowBlank="1" showInputMessage="1" showErrorMessage="1" promptTitle="Mengenumwerter" sqref="D20"/>
    <dataValidation showInputMessage="1" showErrorMessage="1" sqref="C16:C17 C20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5.8515625" style="34" customWidth="1"/>
    <col min="2" max="2" width="16.140625" style="36" bestFit="1" customWidth="1"/>
    <col min="3" max="3" width="14.421875" style="35" bestFit="1" customWidth="1"/>
    <col min="4" max="4" width="21.7109375" style="36" bestFit="1" customWidth="1"/>
    <col min="5" max="5" width="14.421875" style="36" bestFit="1" customWidth="1"/>
    <col min="6" max="6" width="14.00390625" style="36" bestFit="1" customWidth="1"/>
    <col min="7" max="16384" width="11.421875" style="35" customWidth="1"/>
  </cols>
  <sheetData>
    <row r="1" spans="1:6" s="40" customFormat="1" ht="31.5">
      <c r="A1" s="38" t="s">
        <v>20</v>
      </c>
      <c r="B1" s="39" t="s">
        <v>38</v>
      </c>
      <c r="C1" s="39" t="s">
        <v>62</v>
      </c>
      <c r="D1" s="39" t="s">
        <v>19</v>
      </c>
      <c r="E1" s="39" t="s">
        <v>63</v>
      </c>
      <c r="F1" s="39" t="s">
        <v>65</v>
      </c>
    </row>
    <row r="2" spans="1:9" ht="12.75">
      <c r="A2" s="43" t="s">
        <v>12</v>
      </c>
      <c r="B2" s="66">
        <v>11.13</v>
      </c>
      <c r="C2" s="88">
        <f aca="true" t="shared" si="0" ref="C2:C8">ROUND(I2,2)</f>
        <v>1.89</v>
      </c>
      <c r="D2" s="34">
        <f>Eingabefelder!B16</f>
        <v>30000</v>
      </c>
      <c r="E2" s="41">
        <f aca="true" t="shared" si="1" ref="E2:E8">C2/100</f>
        <v>0.0189</v>
      </c>
      <c r="F2" s="42">
        <f>B2+(D2*E2)</f>
        <v>578.13</v>
      </c>
      <c r="I2" s="35">
        <v>1.889</v>
      </c>
    </row>
    <row r="3" spans="1:9" ht="12.75">
      <c r="A3" s="43" t="s">
        <v>13</v>
      </c>
      <c r="B3" s="67">
        <v>19.261</v>
      </c>
      <c r="C3" s="89">
        <f t="shared" si="0"/>
        <v>1.48</v>
      </c>
      <c r="D3" s="34">
        <f>Eingabefelder!B16</f>
        <v>30000</v>
      </c>
      <c r="E3" s="41">
        <f t="shared" si="1"/>
        <v>0.0148</v>
      </c>
      <c r="F3" s="42">
        <f aca="true" t="shared" si="2" ref="F3:F8">B3+(D3*E3)</f>
        <v>463.261</v>
      </c>
      <c r="I3" s="35">
        <v>1.483</v>
      </c>
    </row>
    <row r="4" spans="1:9" ht="12.75">
      <c r="A4" s="43" t="s">
        <v>14</v>
      </c>
      <c r="B4" s="67">
        <v>43.652</v>
      </c>
      <c r="C4" s="89">
        <f t="shared" si="0"/>
        <v>1.24</v>
      </c>
      <c r="D4" s="34">
        <f>Eingabefelder!B16</f>
        <v>30000</v>
      </c>
      <c r="E4" s="41">
        <f t="shared" si="1"/>
        <v>0.0124</v>
      </c>
      <c r="F4" s="42">
        <f t="shared" si="2"/>
        <v>415.652</v>
      </c>
      <c r="I4" s="35">
        <v>1.239</v>
      </c>
    </row>
    <row r="5" spans="1:9" ht="12.75">
      <c r="A5" s="43" t="s">
        <v>15</v>
      </c>
      <c r="B5" s="67">
        <v>84.304</v>
      </c>
      <c r="C5" s="89">
        <f t="shared" si="0"/>
        <v>1.08</v>
      </c>
      <c r="D5" s="34">
        <f>Eingabefelder!B16</f>
        <v>30000</v>
      </c>
      <c r="E5" s="41">
        <f t="shared" si="1"/>
        <v>0.0108</v>
      </c>
      <c r="F5" s="42">
        <f t="shared" si="2"/>
        <v>408.304</v>
      </c>
      <c r="I5" s="35">
        <v>1.076</v>
      </c>
    </row>
    <row r="6" spans="1:9" ht="12.75">
      <c r="A6" s="43" t="s">
        <v>16</v>
      </c>
      <c r="B6" s="67">
        <v>165.608</v>
      </c>
      <c r="C6" s="89">
        <f t="shared" si="0"/>
        <v>0.91</v>
      </c>
      <c r="D6" s="34">
        <f>Eingabefelder!B16</f>
        <v>30000</v>
      </c>
      <c r="E6" s="41">
        <f t="shared" si="1"/>
        <v>0.0091</v>
      </c>
      <c r="F6" s="42">
        <f t="shared" si="2"/>
        <v>438.608</v>
      </c>
      <c r="I6" s="35">
        <v>0.914</v>
      </c>
    </row>
    <row r="7" spans="1:9" ht="12.75">
      <c r="A7" s="43" t="s">
        <v>17</v>
      </c>
      <c r="B7" s="67">
        <v>409.52</v>
      </c>
      <c r="C7" s="89">
        <f t="shared" si="0"/>
        <v>0.79</v>
      </c>
      <c r="D7" s="34">
        <f>Eingabefelder!B16</f>
        <v>30000</v>
      </c>
      <c r="E7" s="41">
        <f t="shared" si="1"/>
        <v>0.0079</v>
      </c>
      <c r="F7" s="42">
        <f t="shared" si="2"/>
        <v>646.52</v>
      </c>
      <c r="I7" s="35">
        <v>0.792</v>
      </c>
    </row>
    <row r="8" spans="1:9" ht="12.75">
      <c r="A8" s="43" t="s">
        <v>18</v>
      </c>
      <c r="B8" s="68">
        <v>1019.3</v>
      </c>
      <c r="C8" s="90">
        <f t="shared" si="0"/>
        <v>0.67</v>
      </c>
      <c r="D8" s="34">
        <f>Eingabefelder!B16</f>
        <v>30000</v>
      </c>
      <c r="E8" s="41">
        <f t="shared" si="1"/>
        <v>0.0067</v>
      </c>
      <c r="F8" s="42">
        <f t="shared" si="2"/>
        <v>1220.3</v>
      </c>
      <c r="I8" s="35">
        <v>0.67</v>
      </c>
    </row>
    <row r="13" spans="1:6" s="33" customFormat="1" ht="31.5">
      <c r="A13" s="38" t="s">
        <v>21</v>
      </c>
      <c r="B13" s="32"/>
      <c r="D13" s="32"/>
      <c r="E13" s="32"/>
      <c r="F13" s="32"/>
    </row>
    <row r="14" ht="12.75">
      <c r="A14" s="86" t="s">
        <v>22</v>
      </c>
    </row>
    <row r="15" spans="1:3" ht="12.75">
      <c r="A15" s="34" t="s">
        <v>23</v>
      </c>
      <c r="B15" s="69">
        <v>0.1859</v>
      </c>
      <c r="C15" s="35" t="s">
        <v>64</v>
      </c>
    </row>
    <row r="16" spans="1:3" ht="12.75">
      <c r="A16" s="34" t="s">
        <v>24</v>
      </c>
      <c r="B16" s="70">
        <v>0.175</v>
      </c>
      <c r="C16" s="35" t="s">
        <v>64</v>
      </c>
    </row>
    <row r="17" spans="1:2" ht="12.75">
      <c r="A17" s="34" t="s">
        <v>25</v>
      </c>
      <c r="B17" s="37">
        <v>7009000</v>
      </c>
    </row>
    <row r="18" spans="1:2" ht="12.75">
      <c r="A18" s="34" t="s">
        <v>26</v>
      </c>
      <c r="B18" s="36">
        <v>1.4</v>
      </c>
    </row>
    <row r="19" spans="1:2" ht="12.75">
      <c r="A19" s="34" t="s">
        <v>27</v>
      </c>
      <c r="B19" s="37">
        <f>Eingabefelder!B6</f>
        <v>2000000</v>
      </c>
    </row>
    <row r="20" spans="1:10" ht="12.75">
      <c r="A20" s="34" t="s">
        <v>28</v>
      </c>
      <c r="B20" s="34">
        <f>(B19)*(B15+(B16/(1+(B19/B17)^B18)))*10/1000</f>
        <v>6702.331530453934</v>
      </c>
      <c r="H20" s="34"/>
      <c r="J20" s="34"/>
    </row>
    <row r="22" ht="12.75">
      <c r="A22" s="86" t="s">
        <v>29</v>
      </c>
    </row>
    <row r="23" spans="1:3" ht="12.75">
      <c r="A23" s="34" t="s">
        <v>30</v>
      </c>
      <c r="B23" s="71">
        <v>7.1023</v>
      </c>
      <c r="C23" s="35" t="s">
        <v>64</v>
      </c>
    </row>
    <row r="24" spans="1:3" ht="12.75">
      <c r="A24" s="34" t="s">
        <v>31</v>
      </c>
      <c r="B24" s="72">
        <v>6.6107</v>
      </c>
      <c r="C24" s="35" t="s">
        <v>64</v>
      </c>
    </row>
    <row r="25" spans="1:2" ht="12.75">
      <c r="A25" s="34" t="s">
        <v>32</v>
      </c>
      <c r="B25" s="37">
        <v>3350</v>
      </c>
    </row>
    <row r="26" spans="1:2" ht="12.75">
      <c r="A26" s="34" t="s">
        <v>33</v>
      </c>
      <c r="B26" s="36">
        <v>1.4</v>
      </c>
    </row>
    <row r="27" spans="1:2" ht="12.75">
      <c r="A27" s="34" t="s">
        <v>34</v>
      </c>
      <c r="B27" s="37">
        <f>Eingabefelder!B7</f>
        <v>1000</v>
      </c>
    </row>
    <row r="28" spans="1:2" ht="12.75">
      <c r="A28" s="34" t="s">
        <v>28</v>
      </c>
      <c r="B28" s="34">
        <f>B27*(B23+(B24/(1+(B27/B25)^B26)))</f>
        <v>12685.422818336114</v>
      </c>
    </row>
    <row r="29" ht="12.75">
      <c r="B29" s="34"/>
    </row>
    <row r="30" spans="1:2" ht="12.75">
      <c r="A30" s="34" t="s">
        <v>35</v>
      </c>
      <c r="B30" s="34">
        <f>B20+B28</f>
        <v>19387.754348790048</v>
      </c>
    </row>
    <row r="31" ht="12.75">
      <c r="B31" s="34"/>
    </row>
    <row r="32" ht="12.75">
      <c r="B32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56.57421875" style="0" customWidth="1"/>
  </cols>
  <sheetData>
    <row r="1" ht="216" customHeight="1">
      <c r="A1" s="91" t="s">
        <v>78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Welz, Joachim</cp:lastModifiedBy>
  <dcterms:created xsi:type="dcterms:W3CDTF">2008-03-04T08:44:55Z</dcterms:created>
  <dcterms:modified xsi:type="dcterms:W3CDTF">2017-01-26T07:48:11Z</dcterms:modified>
  <cp:category/>
  <cp:version/>
  <cp:contentType/>
  <cp:contentStatus/>
</cp:coreProperties>
</file>